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1560" windowWidth="22980" windowHeight="12768"/>
  </bookViews>
  <sheets>
    <sheet name="TMO" sheetId="2" r:id="rId1"/>
    <sheet name="data" sheetId="1" r:id="rId2"/>
    <sheet name="Sheet3" sheetId="3" r:id="rId3"/>
  </sheets>
  <definedNames>
    <definedName name="_xlnm._FilterDatabase" localSheetId="1" hidden="1">data!$A$1:$D$123</definedName>
  </definedNames>
  <calcPr calcId="125725"/>
</workbook>
</file>

<file path=xl/calcChain.xml><?xml version="1.0" encoding="utf-8"?>
<calcChain xmlns="http://schemas.openxmlformats.org/spreadsheetml/2006/main">
  <c r="M18" i="2" a="1"/>
  <c r="M18" s="1"/>
  <c r="M17" a="1"/>
  <c r="M17" s="1"/>
  <c r="M15" a="1"/>
  <c r="M15" s="1"/>
  <c r="M14" a="1"/>
  <c r="M14" s="1"/>
  <c r="M12" a="1"/>
  <c r="M12" s="1"/>
  <c r="M11" a="1"/>
  <c r="M11" s="1"/>
  <c r="I18" a="1"/>
  <c r="I18" s="1"/>
  <c r="I17" a="1"/>
  <c r="I17" s="1"/>
  <c r="I15" a="1"/>
  <c r="I15" s="1"/>
  <c r="I14" a="1"/>
  <c r="I14" s="1"/>
  <c r="I12" a="1"/>
  <c r="I12" s="1"/>
  <c r="I11" a="1"/>
  <c r="I11" s="1"/>
  <c r="G18" a="1"/>
  <c r="G18" s="1"/>
  <c r="G17" a="1"/>
  <c r="G17" s="1"/>
  <c r="G15" a="1"/>
  <c r="G15" s="1"/>
  <c r="G14" a="1"/>
  <c r="G14" s="1"/>
  <c r="G12" a="1"/>
  <c r="G12" s="1"/>
  <c r="G11" a="1"/>
  <c r="G11" s="1"/>
  <c r="E18" a="1"/>
  <c r="E18" s="1"/>
  <c r="E17" a="1"/>
  <c r="E17" s="1"/>
  <c r="E15" a="1"/>
  <c r="E15" s="1"/>
  <c r="E14" a="1"/>
  <c r="E14" s="1"/>
  <c r="E12" a="1"/>
  <c r="E12" s="1"/>
  <c r="E11" a="1"/>
  <c r="E11" s="1"/>
  <c r="C18" a="1"/>
  <c r="C18" s="1"/>
  <c r="C17" a="1"/>
  <c r="C17" s="1"/>
  <c r="C15" a="1"/>
  <c r="C15" s="1"/>
  <c r="C14" a="1"/>
  <c r="C14" s="1"/>
  <c r="C12" a="1"/>
  <c r="C12" s="1"/>
  <c r="C11" a="1"/>
  <c r="C11" s="1"/>
  <c r="B4"/>
  <c r="E20" l="1"/>
  <c r="I20"/>
  <c r="M20"/>
  <c r="C20"/>
  <c r="G20"/>
  <c r="K18"/>
  <c r="K17"/>
  <c r="K15"/>
  <c r="K14"/>
  <c r="K12"/>
  <c r="K11"/>
  <c r="K20" l="1"/>
  <c r="L18" s="1"/>
  <c r="F20" l="1"/>
  <c r="H20"/>
  <c r="L17"/>
  <c r="L14"/>
  <c r="L11"/>
  <c r="J20"/>
  <c r="L12"/>
  <c r="N17"/>
  <c r="N14"/>
  <c r="J17"/>
  <c r="J14"/>
  <c r="J11"/>
  <c r="H12"/>
  <c r="H15"/>
  <c r="H18"/>
  <c r="F11"/>
  <c r="N12"/>
  <c r="D15"/>
  <c r="H17"/>
  <c r="N18"/>
  <c r="H11"/>
  <c r="J12"/>
  <c r="N15"/>
  <c r="D11"/>
  <c r="D14"/>
  <c r="D17"/>
  <c r="N11"/>
  <c r="F14"/>
  <c r="J15"/>
  <c r="D18"/>
  <c r="J18"/>
  <c r="D12"/>
  <c r="H14"/>
  <c r="F17"/>
  <c r="F12"/>
  <c r="F15"/>
  <c r="F18"/>
  <c r="D20"/>
  <c r="L15"/>
  <c r="L20" l="1"/>
  <c r="N20"/>
</calcChain>
</file>

<file path=xl/sharedStrings.xml><?xml version="1.0" encoding="utf-8"?>
<sst xmlns="http://schemas.openxmlformats.org/spreadsheetml/2006/main" count="397" uniqueCount="25">
  <si>
    <t>Age Class</t>
  </si>
  <si>
    <t>Pine Density</t>
  </si>
  <si>
    <t>MPB Attack Severity</t>
  </si>
  <si>
    <t>Sum Of area_ha</t>
  </si>
  <si>
    <t>&gt;60 years</t>
  </si>
  <si>
    <t>&gt;70%</t>
  </si>
  <si>
    <t>Light (&lt;11%)</t>
  </si>
  <si>
    <t>Moderate (11-30%)</t>
  </si>
  <si>
    <t>No Attack</t>
  </si>
  <si>
    <t>Severe (31-50%)</t>
  </si>
  <si>
    <t>Very Severe (&gt;50%)</t>
  </si>
  <si>
    <t>30-70%</t>
  </si>
  <si>
    <t>21-40 years</t>
  </si>
  <si>
    <t>41-60 years</t>
  </si>
  <si>
    <t>Area (ha) of MPB Attack Severity by Age Class and Density within Pine Stands (Pine Species &gt;= 30% density - The Pine Mask)</t>
  </si>
  <si>
    <t>TSA Area</t>
  </si>
  <si>
    <t>Area (ha)</t>
  </si>
  <si>
    <t>Percent of all Pine (Pine Mask)</t>
  </si>
  <si>
    <t>All Severity</t>
  </si>
  <si>
    <t>Total Area of Attack (ha)</t>
  </si>
  <si>
    <t>Total</t>
  </si>
  <si>
    <t>MPB Attack as a percentage of Pine affected within the VRI Stand</t>
  </si>
  <si>
    <t>TMO - 2011 MPB Update</t>
  </si>
  <si>
    <t>&lt;21 years</t>
  </si>
  <si>
    <t>Pine Mask Unharvested Area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</si>
</sst>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3" fillId="0" borderId="18" xfId="0" applyFont="1" applyBorder="1" applyAlignment="1">
      <alignment horizontal="right"/>
    </xf>
    <xf numFmtId="0" fontId="5" fillId="0" borderId="19" xfId="0" applyFont="1" applyBorder="1"/>
    <xf numFmtId="165" fontId="5" fillId="0" borderId="6" xfId="0" applyNumberFormat="1" applyFont="1" applyBorder="1" applyAlignment="1">
      <alignment vertical="center"/>
    </xf>
    <xf numFmtId="165" fontId="5" fillId="0" borderId="20" xfId="0" applyNumberFormat="1" applyFont="1" applyBorder="1"/>
    <xf numFmtId="165" fontId="5" fillId="0" borderId="13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4" fontId="3" fillId="0" borderId="19" xfId="0" applyNumberFormat="1" applyFont="1" applyBorder="1"/>
    <xf numFmtId="0" fontId="3" fillId="0" borderId="21" xfId="0" applyFont="1" applyBorder="1" applyAlignment="1">
      <alignment horizontal="center" vertical="center" wrapText="1"/>
    </xf>
    <xf numFmtId="165" fontId="5" fillId="0" borderId="21" xfId="0" applyNumberFormat="1" applyFont="1" applyBorder="1" applyAlignment="1">
      <alignment vertical="center"/>
    </xf>
    <xf numFmtId="165" fontId="5" fillId="0" borderId="8" xfId="0" applyNumberFormat="1" applyFont="1" applyBorder="1"/>
    <xf numFmtId="164" fontId="5" fillId="0" borderId="12" xfId="0" applyNumberFormat="1" applyFont="1" applyBorder="1" applyAlignment="1">
      <alignment vertical="center"/>
    </xf>
    <xf numFmtId="164" fontId="3" fillId="0" borderId="18" xfId="0" applyNumberFormat="1" applyFont="1" applyBorder="1"/>
    <xf numFmtId="3" fontId="3" fillId="0" borderId="0" xfId="0" applyNumberFormat="1" applyFont="1" applyBorder="1" applyAlignment="1">
      <alignment vertic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/>
    </xf>
    <xf numFmtId="0" fontId="1" fillId="0" borderId="2" xfId="2" applyFont="1" applyFill="1" applyBorder="1" applyAlignment="1">
      <alignment wrapText="1"/>
    </xf>
    <xf numFmtId="0" fontId="1" fillId="0" borderId="2" xfId="2" applyFont="1" applyFill="1" applyBorder="1" applyAlignment="1">
      <alignment horizontal="right" wrapText="1"/>
    </xf>
  </cellXfs>
  <cellStyles count="3">
    <cellStyle name="Normal" xfId="0" builtinId="0"/>
    <cellStyle name="Normal_data" xfId="2"/>
    <cellStyle name="Normal_TMK_data" xfId="1"/>
  </cellStyles>
  <dxfs count="0"/>
  <tableStyles count="0" defaultTableStyle="TableStyleMedium9" defaultPivotStyle="PivotStyleLight16"/>
  <colors>
    <mruColors>
      <color rgb="FF99CC00"/>
      <color rgb="FFFF6600"/>
      <color rgb="FFFFCC00"/>
      <color rgb="FFFFCC99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56"/>
  <sheetViews>
    <sheetView tabSelected="1" workbookViewId="0">
      <selection activeCell="A22" sqref="A22"/>
    </sheetView>
  </sheetViews>
  <sheetFormatPr defaultRowHeight="14.4"/>
  <cols>
    <col min="1" max="1" width="24.77734375" customWidth="1"/>
    <col min="2" max="2" width="11.109375" customWidth="1"/>
    <col min="3" max="3" width="11.44140625" bestFit="1" customWidth="1"/>
    <col min="4" max="4" width="10.88671875" customWidth="1"/>
    <col min="6" max="6" width="10.88671875" customWidth="1"/>
    <col min="8" max="8" width="10.88671875" customWidth="1"/>
    <col min="10" max="12" width="10.88671875" customWidth="1"/>
    <col min="14" max="14" width="10.88671875" customWidth="1"/>
  </cols>
  <sheetData>
    <row r="1" spans="1:33" ht="15.6">
      <c r="A1" s="2" t="s">
        <v>22</v>
      </c>
    </row>
    <row r="2" spans="1:33" ht="15.6">
      <c r="A2" s="2" t="s">
        <v>14</v>
      </c>
    </row>
    <row r="3" spans="1:33">
      <c r="A3" s="1" t="s">
        <v>15</v>
      </c>
      <c r="B3" s="33">
        <v>1501712.0332561899</v>
      </c>
    </row>
    <row r="4" spans="1:33">
      <c r="A4" s="1" t="s">
        <v>24</v>
      </c>
      <c r="B4" s="33">
        <f>SUM(data!D2:D200)</f>
        <v>383914.29749658209</v>
      </c>
    </row>
    <row r="5" spans="1:33">
      <c r="A5" s="1"/>
      <c r="B5" s="6"/>
    </row>
    <row r="6" spans="1:33" ht="15.6">
      <c r="A6" s="2" t="s">
        <v>21</v>
      </c>
      <c r="B6" s="6"/>
    </row>
    <row r="7" spans="1:33" ht="15" thickBo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5" thickBot="1">
      <c r="A8" s="36" t="s">
        <v>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8"/>
      <c r="N8" s="39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>
      <c r="A9" s="40"/>
      <c r="B9" s="41"/>
      <c r="C9" s="48" t="s">
        <v>6</v>
      </c>
      <c r="D9" s="48"/>
      <c r="E9" s="49" t="s">
        <v>7</v>
      </c>
      <c r="F9" s="49"/>
      <c r="G9" s="50" t="s">
        <v>9</v>
      </c>
      <c r="H9" s="50"/>
      <c r="I9" s="51" t="s">
        <v>10</v>
      </c>
      <c r="J9" s="51"/>
      <c r="K9" s="41" t="s">
        <v>18</v>
      </c>
      <c r="L9" s="45"/>
      <c r="M9" s="46" t="s">
        <v>8</v>
      </c>
      <c r="N9" s="47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3" customFormat="1" ht="50.4" customHeight="1">
      <c r="A10" s="14" t="s">
        <v>0</v>
      </c>
      <c r="B10" s="12" t="s">
        <v>1</v>
      </c>
      <c r="C10" s="12" t="s">
        <v>16</v>
      </c>
      <c r="D10" s="13" t="s">
        <v>17</v>
      </c>
      <c r="E10" s="12" t="s">
        <v>16</v>
      </c>
      <c r="F10" s="13" t="s">
        <v>17</v>
      </c>
      <c r="G10" s="12" t="s">
        <v>16</v>
      </c>
      <c r="H10" s="13" t="s">
        <v>17</v>
      </c>
      <c r="I10" s="12" t="s">
        <v>16</v>
      </c>
      <c r="J10" s="13" t="s">
        <v>17</v>
      </c>
      <c r="K10" s="13" t="s">
        <v>19</v>
      </c>
      <c r="L10" s="28" t="s">
        <v>17</v>
      </c>
      <c r="M10" s="14" t="s">
        <v>16</v>
      </c>
      <c r="N10" s="15" t="s">
        <v>17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s="8" customFormat="1">
      <c r="A11" s="42" t="s">
        <v>12</v>
      </c>
      <c r="B11" s="9" t="s">
        <v>11</v>
      </c>
      <c r="C11" s="10">
        <f t="array" ref="C11">SUM(IF(data!A2:A200="21-40 years",IF(data!B2:B200="30-70%",IF(data!C2:C200="Light (&lt;11%)",data!D2:D200,0),0),0))</f>
        <v>783.46011679645972</v>
      </c>
      <c r="D11" s="23">
        <f>C11/($K$20+$M$20)</f>
        <v>2.0792168418801828E-3</v>
      </c>
      <c r="E11" s="10">
        <f t="array" ref="E11">SUM(IF(data!A2:A200="21-40 years",IF(data!B2:B200="30-70%",IF(data!C2:C200="Moderate (11-30%)",data!D2:D200,0),0),0))</f>
        <v>2564.7801699072334</v>
      </c>
      <c r="F11" s="23">
        <f>E11/($K$20+$M$20)</f>
        <v>6.8066440277736086E-3</v>
      </c>
      <c r="G11" s="10">
        <f t="array" ref="G11">SUM(IF(data!A2:A200="21-40 years",IF(data!B2:B200="30-70%",IF(data!C2:C200="Severe (31-50%)",data!D2:D200,0),0),0))</f>
        <v>502.2549529827283</v>
      </c>
      <c r="H11" s="23">
        <f>G11/($K$20+$M$20)</f>
        <v>1.3329293154443148E-3</v>
      </c>
      <c r="I11" s="10">
        <f t="array" ref="I11">SUM(IF(data!A2:A200="21-40 years",IF(data!B2:B200="30-70%",IF(data!C2:C200="Very Severe (&gt;50%)",data!D2:D200,0),0),0))</f>
        <v>6763.9033520155444</v>
      </c>
      <c r="J11" s="23">
        <f>I11/($K$20+$M$20)</f>
        <v>1.7950654366256941E-2</v>
      </c>
      <c r="K11" s="11">
        <f>SUM(C11,E11,G11,I11)</f>
        <v>10614.398591701965</v>
      </c>
      <c r="L11" s="29">
        <f>K11/($K$20+$M$20)</f>
        <v>2.8169444551355047E-2</v>
      </c>
      <c r="M11" s="31">
        <f t="array" ref="M11">SUM(IF(data!A2:A200="21-40 years",IF(data!B2:B200="30-70%",IF(data!C2:C200="No Attack",data!D2:D200,0),0),0))</f>
        <v>1926.7137587558962</v>
      </c>
      <c r="N11" s="25">
        <f>M11/($K$20+$M$20)</f>
        <v>5.1132860637094699E-3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s="8" customFormat="1">
      <c r="A12" s="43"/>
      <c r="B12" s="9" t="s">
        <v>5</v>
      </c>
      <c r="C12" s="10">
        <f t="array" ref="C12">SUM(IF(data!A2:A200="21-40 years",IF(data!B2:B200="&gt;70%",IF(data!C2:C200="Light (&lt;11%)",data!D2:D200,0),0),0))</f>
        <v>3622.1069708008163</v>
      </c>
      <c r="D12" s="23">
        <f>C12/($K$20+$M$20)</f>
        <v>9.6126728793486695E-3</v>
      </c>
      <c r="E12" s="10">
        <f t="array" ref="E12">SUM(IF(data!A2:A200="21-40 years",IF(data!B2:B200="&gt;70%",IF(data!C2:C200="Moderate (11-30%)",data!D2:D200,0),0),0))</f>
        <v>3654.3830022243874</v>
      </c>
      <c r="F12" s="23">
        <f>E12/($K$20+$M$20)</f>
        <v>9.6983299111314085E-3</v>
      </c>
      <c r="G12" s="10">
        <f t="array" ref="G12">SUM(IF(data!A2:A200="21-40 years",IF(data!B2:B200="&gt;70%",IF(data!C2:C200="Severe (31-50%)",data!D2:D200,0),0),0))</f>
        <v>3452.8217665105526</v>
      </c>
      <c r="H12" s="23">
        <f>G12/($K$20+$M$20)</f>
        <v>9.1634085960809013E-3</v>
      </c>
      <c r="I12" s="10">
        <f t="array" ref="I12">SUM(IF(data!A2:A200="21-40 years",IF(data!B2:B200="&gt;70%",IF(data!C2:C200="Very Severe (&gt;50%)",data!D2:D200,0),0),0))</f>
        <v>19668.091838879107</v>
      </c>
      <c r="J12" s="23">
        <f>I12/($K$20+$M$20)</f>
        <v>5.2196949049887371E-2</v>
      </c>
      <c r="K12" s="11">
        <f>SUM(C12,E12,G12,I12)</f>
        <v>30397.403578414865</v>
      </c>
      <c r="L12" s="29">
        <f>K12/($K$20+$M$20)</f>
        <v>8.0671360436448347E-2</v>
      </c>
      <c r="M12" s="31">
        <f t="array" ref="M12">SUM(IF(data!A2:A200="21-40 years",IF(data!B2:B200="&gt;70%",IF(data!C2:C200="No Attack",data!D2:D200,0),0),0))</f>
        <v>4428.0565752750199</v>
      </c>
      <c r="N12" s="25">
        <f>M12/($K$20+$M$20)</f>
        <v>1.1751574344022447E-2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s="8" customFormat="1" ht="4.05" customHeight="1">
      <c r="A13" s="16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6"/>
      <c r="N13" s="1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s="8" customFormat="1">
      <c r="A14" s="44" t="s">
        <v>13</v>
      </c>
      <c r="B14" s="9" t="s">
        <v>11</v>
      </c>
      <c r="C14" s="10">
        <f t="array" ref="C14">SUM(IF(data!A2:A200="41-60 years",IF(data!B2:B200="30-70%",IF(data!C2:C200="Light (&lt;11%)",data!D2:D200,0),0),0))</f>
        <v>0</v>
      </c>
      <c r="D14" s="23">
        <f>C14/($K$20+$M$20)</f>
        <v>0</v>
      </c>
      <c r="E14" s="10">
        <f t="array" ref="E14">SUM(IF(data!A2:A200="41-60 years",IF(data!B2:B200="30-70%",IF(data!C2:C200="Moderate (11-30%)",data!D2:D200,0),0),0))</f>
        <v>186.35135702872452</v>
      </c>
      <c r="F14" s="23">
        <f>E14/($K$20+$M$20)</f>
        <v>4.9455597258183477E-4</v>
      </c>
      <c r="G14" s="10">
        <f t="array" ref="G14">SUM(IF(data!A2:A200="41-60 years",IF(data!B2:B200="30-70%",IF(data!C2:C200="Severe (31-50%)",data!D2:D200,0),0),0))</f>
        <v>129.74191882231975</v>
      </c>
      <c r="H14" s="23">
        <f>G14/($K$20+$M$20)</f>
        <v>3.4432075983173736E-4</v>
      </c>
      <c r="I14" s="10">
        <f t="array" ref="I14">SUM(IF(data!A2:A200="41-60 years",IF(data!B2:B200="30-70%",IF(data!C2:C200="Very Severe (&gt;50%)",data!D2:D200,0),0),0))</f>
        <v>1867.3635465288858</v>
      </c>
      <c r="J14" s="23">
        <f>I14/($K$20+$M$20)</f>
        <v>4.9557771386398069E-3</v>
      </c>
      <c r="K14" s="11">
        <f>SUM(C14,E14,G14,I14)</f>
        <v>2183.4568223799301</v>
      </c>
      <c r="L14" s="29">
        <f>K14/($K$20+$M$20)</f>
        <v>5.794653871053379E-3</v>
      </c>
      <c r="M14" s="31">
        <f t="array" ref="M14">SUM(IF(data!A2:A200="41-60 years",IF(data!B2:B200="30-70%",IF(data!C2:C200="No Attack",data!D2:D200,0),0),0))</f>
        <v>329.15029953496037</v>
      </c>
      <c r="N14" s="25">
        <f>M14/($K$20+$M$20)</f>
        <v>8.7352863487343902E-4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s="8" customFormat="1">
      <c r="A15" s="43"/>
      <c r="B15" s="9" t="s">
        <v>5</v>
      </c>
      <c r="C15" s="10">
        <f t="array" ref="C15">SUM(IF(data!A2:A200="41-60 years",IF(data!B2:B200="&gt;70%",IF(data!C2:C200="Light (&lt;11%)",data!D2:D200,0),0),0))</f>
        <v>82.789440887761771</v>
      </c>
      <c r="D15" s="23">
        <f>C15/($K$20+$M$20)</f>
        <v>2.1971405580610911E-4</v>
      </c>
      <c r="E15" s="10">
        <f t="array" ref="E15">SUM(IF(data!A2:A200="41-60 years",IF(data!B2:B200="&gt;70%",IF(data!C2:C200="Moderate (11-30%)",data!D2:D200,0),0),0))</f>
        <v>419.2516825856236</v>
      </c>
      <c r="F15" s="23">
        <f>E15/($K$20+$M$20)</f>
        <v>1.1126477796764502E-3</v>
      </c>
      <c r="G15" s="10">
        <f t="array" ref="G15">SUM(IF(data!A2:A200="41-60 years",IF(data!B2:B200="&gt;70%",IF(data!C2:C200="Severe (31-50%)",data!D2:D200,0),0),0))</f>
        <v>577.03244416177017</v>
      </c>
      <c r="H15" s="23">
        <f>G15/($K$20+$M$20)</f>
        <v>1.5313805393416553E-3</v>
      </c>
      <c r="I15" s="10">
        <f t="array" ref="I15">SUM(IF(data!A2:A200="41-60 years",IF(data!B2:B200="&gt;70%",IF(data!C2:C200="Very Severe (&gt;50%)",data!D2:D200,0),0),0))</f>
        <v>1808.8768342693947</v>
      </c>
      <c r="J15" s="23">
        <f>I15/($K$20+$M$20)</f>
        <v>4.8005598473584345E-3</v>
      </c>
      <c r="K15" s="11">
        <f>SUM(C15,E15,G15,I15)</f>
        <v>2887.9504019045503</v>
      </c>
      <c r="L15" s="29">
        <f>K15/($K$20+$M$20)</f>
        <v>7.6643022221826486E-3</v>
      </c>
      <c r="M15" s="31">
        <f t="array" ref="M15">SUM(IF(data!A2:A200="41-60 years",IF(data!B2:B200="&gt;70%",IF(data!C2:C200="No Attack",data!D2:D200,0),0),0))</f>
        <v>517.90292761392209</v>
      </c>
      <c r="N15" s="25">
        <f>M15/($K$20+$M$20)</f>
        <v>1.3744573162920526E-3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s="8" customFormat="1" ht="4.05" customHeight="1">
      <c r="A16" s="20"/>
      <c r="B16" s="18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6"/>
      <c r="N16" s="19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s="8" customFormat="1">
      <c r="A17" s="44" t="s">
        <v>4</v>
      </c>
      <c r="B17" s="9" t="s">
        <v>11</v>
      </c>
      <c r="C17" s="10">
        <f t="array" ref="C17">SUM(IF(data!A2:A200="&gt;60 years",IF(data!B2:B200="30-70%",IF(data!C2:C200="Light (&lt;11%)",data!D2:D200,0),0),0))</f>
        <v>1431.3616021124669</v>
      </c>
      <c r="D17" s="23">
        <f>C17/($K$20+$M$20)</f>
        <v>3.798676009318833E-3</v>
      </c>
      <c r="E17" s="10">
        <f t="array" ref="E17">SUM(IF(data!A2:A200="&gt;60 years",IF(data!B2:B200="30-70%",IF(data!C2:C200="Moderate (11-30%)",data!D2:D200,0),0),0))</f>
        <v>2227.8467860519013</v>
      </c>
      <c r="F17" s="23">
        <f>E17/($K$20+$M$20)</f>
        <v>5.9124599445196432E-3</v>
      </c>
      <c r="G17" s="10">
        <f t="array" ref="G17">SUM(IF(data!A2:A200="&gt;60 years",IF(data!B2:B200="30-70%",IF(data!C2:C200="Severe (31-50%)",data!D2:D200,0),0),0))</f>
        <v>3332.2207075908063</v>
      </c>
      <c r="H17" s="23">
        <f>G17/($K$20+$M$20)</f>
        <v>8.8433466714486018E-3</v>
      </c>
      <c r="I17" s="10">
        <f t="array" ref="I17">SUM(IF(data!A2:A200="&gt;60 years",IF(data!B2:B200="30-70%",IF(data!C2:C200="Very Severe (&gt;50%)",data!D2:D200,0),0),0))</f>
        <v>131022.02350163893</v>
      </c>
      <c r="J17" s="23">
        <f>I17/($K$20+$M$20)</f>
        <v>0.3477180166308369</v>
      </c>
      <c r="K17" s="11">
        <f>SUM(C17,E17,G17,I17)</f>
        <v>138013.45259739412</v>
      </c>
      <c r="L17" s="29">
        <f>K17/($K$20+$M$20)</f>
        <v>0.36627249925612404</v>
      </c>
      <c r="M17" s="31">
        <f t="array" ref="M17">SUM(IF(data!A2:A200="&gt;60 years",IF(data!B2:B200="30-70%",IF(data!C2:C200="No Attack",data!D2:D200,0),0),0))</f>
        <v>7028.6878017067284</v>
      </c>
      <c r="N17" s="25">
        <f>M17/($K$20+$M$20)</f>
        <v>1.8653363126362104E-2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s="8" customFormat="1">
      <c r="A18" s="43"/>
      <c r="B18" s="9" t="s">
        <v>5</v>
      </c>
      <c r="C18" s="10">
        <f t="array" ref="C18">SUM(IF(data!A2:A200="&gt;60 years",IF(data!B2:B200="&gt;70%",IF(data!C2:C200="Light (&lt;11%)",data!D2:D200,0),0),0))</f>
        <v>1170.5073979457247</v>
      </c>
      <c r="D18" s="23">
        <f>C18/($K$20+$M$20)</f>
        <v>3.1063976878690012E-3</v>
      </c>
      <c r="E18" s="10">
        <f t="array" ref="E18">SUM(IF(data!A2:A200="&gt;60 years",IF(data!B2:B200="&gt;70%",IF(data!C2:C200="Moderate (11-30%)",data!D2:D200,0),0),0))</f>
        <v>2342.1431235681425</v>
      </c>
      <c r="F18" s="23">
        <f>E18/($K$20+$M$20)</f>
        <v>6.2157898330923002E-3</v>
      </c>
      <c r="G18" s="10">
        <f t="array" ref="G18">SUM(IF(data!A2:A200="&gt;60 years",IF(data!B2:B200="&gt;70%",IF(data!C2:C200="Severe (31-50%)",data!D2:D200,0),0),0))</f>
        <v>4255.7907233821334</v>
      </c>
      <c r="H18" s="23">
        <f>G18/($K$20+$M$20)</f>
        <v>1.1294399750373564E-2</v>
      </c>
      <c r="I18" s="10">
        <f t="array" ref="I18">SUM(IF(data!A2:A200="&gt;60 years",IF(data!B2:B200="&gt;70%",IF(data!C2:C200="Very Severe (&gt;50%)",data!D2:D200,0),0),0))</f>
        <v>167639.00487697675</v>
      </c>
      <c r="J18" s="23">
        <f>I18/($K$20+$M$20)</f>
        <v>0.44489545137471026</v>
      </c>
      <c r="K18" s="11">
        <f>SUM(C18,E18,G18,I18)</f>
        <v>175407.44612187275</v>
      </c>
      <c r="L18" s="29">
        <f>K18/($K$20+$M$20)</f>
        <v>0.46551203864604512</v>
      </c>
      <c r="M18" s="31">
        <f t="array" ref="M18">SUM(IF(data!A2:A200="&gt;60 years",IF(data!B2:B200="&gt;70%",IF(data!C2:C200="No Attack",data!D2:D200,0),0),0))</f>
        <v>3070.7723497238721</v>
      </c>
      <c r="N18" s="25">
        <f>M18/($K$20+$M$20)</f>
        <v>8.1494915315320476E-3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s="8" customFormat="1" ht="4.05" customHeight="1">
      <c r="A19" s="20"/>
      <c r="B19" s="18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6"/>
      <c r="N19" s="1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15" thickBot="1">
      <c r="A20" s="21" t="s">
        <v>20</v>
      </c>
      <c r="B20" s="22"/>
      <c r="C20" s="27">
        <f>SUM(C11:C18)</f>
        <v>7090.2255285432293</v>
      </c>
      <c r="D20" s="26">
        <f>C20/($K$20+$M$20)</f>
        <v>1.8816677474222793E-2</v>
      </c>
      <c r="E20" s="27">
        <f>SUM(E11:E18)</f>
        <v>11394.756121366014</v>
      </c>
      <c r="F20" s="26">
        <f>E20/($K$20+$M$20)</f>
        <v>3.0240427468775248E-2</v>
      </c>
      <c r="G20" s="27">
        <f>SUM(G11:G18)</f>
        <v>12249.862513450311</v>
      </c>
      <c r="H20" s="26">
        <f>G20/($K$20+$M$20)</f>
        <v>3.2509785632520778E-2</v>
      </c>
      <c r="I20" s="27">
        <f>SUM(I11:I18)</f>
        <v>328769.26395030861</v>
      </c>
      <c r="J20" s="26">
        <f>I20/($K$20+$M$20)</f>
        <v>0.87251740840768977</v>
      </c>
      <c r="K20" s="27">
        <f>SUM(K11:K18)</f>
        <v>359504.10811366816</v>
      </c>
      <c r="L20" s="30">
        <f>SUM(L11:L18)</f>
        <v>0.95408429898320857</v>
      </c>
      <c r="M20" s="32">
        <f>SUM(M11:M18)</f>
        <v>17301.283712610399</v>
      </c>
      <c r="N20" s="24">
        <f>SUM(N11:N18)</f>
        <v>4.5915701016791564E-2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3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3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3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3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3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3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3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3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3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3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3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3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</sheetData>
  <mergeCells count="12">
    <mergeCell ref="A17:A18"/>
    <mergeCell ref="C9:D9"/>
    <mergeCell ref="E9:F9"/>
    <mergeCell ref="G9:H9"/>
    <mergeCell ref="I9:J9"/>
    <mergeCell ref="A8:L8"/>
    <mergeCell ref="M8:N8"/>
    <mergeCell ref="A9:B9"/>
    <mergeCell ref="A11:A12"/>
    <mergeCell ref="A14:A15"/>
    <mergeCell ref="K9:L9"/>
    <mergeCell ref="M9:N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7"/>
  <sheetViews>
    <sheetView topLeftCell="A96" workbookViewId="0">
      <selection activeCell="A120" sqref="A120"/>
    </sheetView>
  </sheetViews>
  <sheetFormatPr defaultColWidth="16.33203125" defaultRowHeight="14.4"/>
  <sheetData>
    <row r="1" spans="1:4">
      <c r="A1" s="52" t="s">
        <v>0</v>
      </c>
      <c r="B1" s="52" t="s">
        <v>1</v>
      </c>
      <c r="C1" s="52" t="s">
        <v>2</v>
      </c>
      <c r="D1" s="52" t="s">
        <v>3</v>
      </c>
    </row>
    <row r="2" spans="1:4">
      <c r="A2" s="53" t="s">
        <v>23</v>
      </c>
      <c r="B2" s="53" t="s">
        <v>5</v>
      </c>
      <c r="C2" s="53" t="s">
        <v>6</v>
      </c>
      <c r="D2" s="54">
        <v>259.62482536939035</v>
      </c>
    </row>
    <row r="3" spans="1:4">
      <c r="A3" s="53" t="s">
        <v>23</v>
      </c>
      <c r="B3" s="53" t="s">
        <v>5</v>
      </c>
      <c r="C3" s="53" t="s">
        <v>6</v>
      </c>
      <c r="D3" s="54">
        <v>1123.3275946218064</v>
      </c>
    </row>
    <row r="4" spans="1:4">
      <c r="A4" s="53" t="s">
        <v>23</v>
      </c>
      <c r="B4" s="53" t="s">
        <v>5</v>
      </c>
      <c r="C4" s="53" t="s">
        <v>6</v>
      </c>
      <c r="D4" s="54">
        <v>330.09570769105159</v>
      </c>
    </row>
    <row r="5" spans="1:4" ht="28.8">
      <c r="A5" s="53" t="s">
        <v>23</v>
      </c>
      <c r="B5" s="53" t="s">
        <v>5</v>
      </c>
      <c r="C5" s="53" t="s">
        <v>7</v>
      </c>
      <c r="D5" s="54">
        <v>68.275070945419017</v>
      </c>
    </row>
    <row r="6" spans="1:4" ht="28.8">
      <c r="A6" s="53" t="s">
        <v>23</v>
      </c>
      <c r="B6" s="53" t="s">
        <v>5</v>
      </c>
      <c r="C6" s="53" t="s">
        <v>7</v>
      </c>
      <c r="D6" s="54">
        <v>243.15873466172906</v>
      </c>
    </row>
    <row r="7" spans="1:4" ht="28.8">
      <c r="A7" s="53" t="s">
        <v>23</v>
      </c>
      <c r="B7" s="53" t="s">
        <v>5</v>
      </c>
      <c r="C7" s="53" t="s">
        <v>7</v>
      </c>
      <c r="D7" s="54">
        <v>17.744032136822305</v>
      </c>
    </row>
    <row r="8" spans="1:4">
      <c r="A8" s="53" t="s">
        <v>23</v>
      </c>
      <c r="B8" s="53" t="s">
        <v>5</v>
      </c>
      <c r="C8" s="53" t="s">
        <v>8</v>
      </c>
      <c r="D8" s="54">
        <v>407.36423876276461</v>
      </c>
    </row>
    <row r="9" spans="1:4">
      <c r="A9" s="53" t="s">
        <v>23</v>
      </c>
      <c r="B9" s="53" t="s">
        <v>5</v>
      </c>
      <c r="C9" s="53" t="s">
        <v>8</v>
      </c>
      <c r="D9" s="54">
        <v>161.30087042772806</v>
      </c>
    </row>
    <row r="10" spans="1:4">
      <c r="A10" s="53" t="s">
        <v>23</v>
      </c>
      <c r="B10" s="53" t="s">
        <v>5</v>
      </c>
      <c r="C10" s="53" t="s">
        <v>8</v>
      </c>
      <c r="D10" s="54">
        <v>126.29154242345103</v>
      </c>
    </row>
    <row r="11" spans="1:4">
      <c r="A11" s="53" t="s">
        <v>23</v>
      </c>
      <c r="B11" s="53" t="s">
        <v>5</v>
      </c>
      <c r="C11" s="53" t="s">
        <v>8</v>
      </c>
      <c r="D11" s="54">
        <v>925.19654184623971</v>
      </c>
    </row>
    <row r="12" spans="1:4">
      <c r="A12" s="53" t="s">
        <v>23</v>
      </c>
      <c r="B12" s="53" t="s">
        <v>5</v>
      </c>
      <c r="C12" s="53" t="s">
        <v>9</v>
      </c>
      <c r="D12" s="54">
        <v>3.5472173538661469</v>
      </c>
    </row>
    <row r="13" spans="1:4">
      <c r="A13" s="53" t="s">
        <v>23</v>
      </c>
      <c r="B13" s="53" t="s">
        <v>5</v>
      </c>
      <c r="C13" s="53" t="s">
        <v>9</v>
      </c>
      <c r="D13" s="54">
        <v>49.65819566079383</v>
      </c>
    </row>
    <row r="14" spans="1:4" ht="28.8">
      <c r="A14" s="53" t="s">
        <v>23</v>
      </c>
      <c r="B14" s="53" t="s">
        <v>5</v>
      </c>
      <c r="C14" s="53" t="s">
        <v>10</v>
      </c>
      <c r="D14" s="54">
        <v>135.99415364991194</v>
      </c>
    </row>
    <row r="15" spans="1:4" ht="28.8">
      <c r="A15" s="53" t="s">
        <v>23</v>
      </c>
      <c r="B15" s="53" t="s">
        <v>5</v>
      </c>
      <c r="C15" s="53" t="s">
        <v>10</v>
      </c>
      <c r="D15" s="54">
        <v>140.8592737943905</v>
      </c>
    </row>
    <row r="16" spans="1:4" ht="28.8">
      <c r="A16" s="53" t="s">
        <v>23</v>
      </c>
      <c r="B16" s="53" t="s">
        <v>5</v>
      </c>
      <c r="C16" s="53" t="s">
        <v>10</v>
      </c>
      <c r="D16" s="54">
        <v>43.93709875134612</v>
      </c>
    </row>
    <row r="17" spans="1:4">
      <c r="A17" s="53" t="s">
        <v>23</v>
      </c>
      <c r="B17" s="53" t="s">
        <v>11</v>
      </c>
      <c r="C17" s="53" t="s">
        <v>6</v>
      </c>
      <c r="D17" s="54">
        <v>125.07522550020009</v>
      </c>
    </row>
    <row r="18" spans="1:4">
      <c r="A18" s="53" t="s">
        <v>23</v>
      </c>
      <c r="B18" s="53" t="s">
        <v>11</v>
      </c>
      <c r="C18" s="53" t="s">
        <v>6</v>
      </c>
      <c r="D18" s="54">
        <v>196.96948747021074</v>
      </c>
    </row>
    <row r="19" spans="1:4">
      <c r="A19" s="53" t="s">
        <v>23</v>
      </c>
      <c r="B19" s="53" t="s">
        <v>11</v>
      </c>
      <c r="C19" s="53" t="s">
        <v>6</v>
      </c>
      <c r="D19" s="54">
        <v>651.83392857496654</v>
      </c>
    </row>
    <row r="20" spans="1:4" ht="28.8">
      <c r="A20" s="53" t="s">
        <v>23</v>
      </c>
      <c r="B20" s="53" t="s">
        <v>11</v>
      </c>
      <c r="C20" s="53" t="s">
        <v>7</v>
      </c>
      <c r="D20" s="54">
        <v>15.183280066739744</v>
      </c>
    </row>
    <row r="21" spans="1:4" ht="28.8">
      <c r="A21" s="53" t="s">
        <v>23</v>
      </c>
      <c r="B21" s="53" t="s">
        <v>11</v>
      </c>
      <c r="C21" s="53" t="s">
        <v>7</v>
      </c>
      <c r="D21" s="54">
        <v>66.495713090939518</v>
      </c>
    </row>
    <row r="22" spans="1:4" ht="28.8">
      <c r="A22" s="53" t="s">
        <v>23</v>
      </c>
      <c r="B22" s="53" t="s">
        <v>11</v>
      </c>
      <c r="C22" s="53" t="s">
        <v>7</v>
      </c>
      <c r="D22" s="54">
        <v>6.1823107499904566</v>
      </c>
    </row>
    <row r="23" spans="1:4">
      <c r="A23" s="53" t="s">
        <v>23</v>
      </c>
      <c r="B23" s="53" t="s">
        <v>11</v>
      </c>
      <c r="C23" s="53" t="s">
        <v>8</v>
      </c>
      <c r="D23" s="54">
        <v>427.27315472160831</v>
      </c>
    </row>
    <row r="24" spans="1:4">
      <c r="A24" s="53" t="s">
        <v>23</v>
      </c>
      <c r="B24" s="53" t="s">
        <v>11</v>
      </c>
      <c r="C24" s="53" t="s">
        <v>8</v>
      </c>
      <c r="D24" s="54">
        <v>124.83144501037403</v>
      </c>
    </row>
    <row r="25" spans="1:4">
      <c r="A25" s="53" t="s">
        <v>23</v>
      </c>
      <c r="B25" s="53" t="s">
        <v>11</v>
      </c>
      <c r="C25" s="53" t="s">
        <v>8</v>
      </c>
      <c r="D25" s="54">
        <v>103.68308206872452</v>
      </c>
    </row>
    <row r="26" spans="1:4">
      <c r="A26" s="53" t="s">
        <v>23</v>
      </c>
      <c r="B26" s="53" t="s">
        <v>11</v>
      </c>
      <c r="C26" s="53" t="s">
        <v>8</v>
      </c>
      <c r="D26" s="54">
        <v>921.34718948350894</v>
      </c>
    </row>
    <row r="27" spans="1:4">
      <c r="A27" s="53" t="s">
        <v>23</v>
      </c>
      <c r="B27" s="53" t="s">
        <v>11</v>
      </c>
      <c r="C27" s="53" t="s">
        <v>9</v>
      </c>
      <c r="D27" s="54">
        <v>1.3680698392305801</v>
      </c>
    </row>
    <row r="28" spans="1:4">
      <c r="A28" s="53" t="s">
        <v>23</v>
      </c>
      <c r="B28" s="53" t="s">
        <v>11</v>
      </c>
      <c r="C28" s="53" t="s">
        <v>9</v>
      </c>
      <c r="D28" s="54">
        <v>61.727267873199843</v>
      </c>
    </row>
    <row r="29" spans="1:4">
      <c r="A29" s="53" t="s">
        <v>23</v>
      </c>
      <c r="B29" s="53" t="s">
        <v>11</v>
      </c>
      <c r="C29" s="53" t="s">
        <v>9</v>
      </c>
      <c r="D29" s="54">
        <v>3.2560760428079467E-4</v>
      </c>
    </row>
    <row r="30" spans="1:4" ht="28.8">
      <c r="A30" s="53" t="s">
        <v>23</v>
      </c>
      <c r="B30" s="53" t="s">
        <v>11</v>
      </c>
      <c r="C30" s="53" t="s">
        <v>10</v>
      </c>
      <c r="D30" s="54">
        <v>40.847589822536243</v>
      </c>
    </row>
    <row r="31" spans="1:4" ht="28.8">
      <c r="A31" s="53" t="s">
        <v>23</v>
      </c>
      <c r="B31" s="53" t="s">
        <v>11</v>
      </c>
      <c r="C31" s="53" t="s">
        <v>10</v>
      </c>
      <c r="D31" s="54">
        <v>302.70395689123922</v>
      </c>
    </row>
    <row r="32" spans="1:4" ht="28.8">
      <c r="A32" s="53" t="s">
        <v>23</v>
      </c>
      <c r="B32" s="53" t="s">
        <v>11</v>
      </c>
      <c r="C32" s="53" t="s">
        <v>10</v>
      </c>
      <c r="D32" s="54">
        <v>27.008545435736046</v>
      </c>
    </row>
    <row r="33" spans="1:4">
      <c r="A33" s="53" t="s">
        <v>4</v>
      </c>
      <c r="B33" s="53" t="s">
        <v>5</v>
      </c>
      <c r="C33" s="53" t="s">
        <v>6</v>
      </c>
      <c r="D33" s="54">
        <v>422.74643200653543</v>
      </c>
    </row>
    <row r="34" spans="1:4">
      <c r="A34" s="53" t="s">
        <v>4</v>
      </c>
      <c r="B34" s="53" t="s">
        <v>5</v>
      </c>
      <c r="C34" s="53" t="s">
        <v>6</v>
      </c>
      <c r="D34" s="54">
        <v>449.97377114959869</v>
      </c>
    </row>
    <row r="35" spans="1:4">
      <c r="A35" s="53" t="s">
        <v>4</v>
      </c>
      <c r="B35" s="53" t="s">
        <v>5</v>
      </c>
      <c r="C35" s="53" t="s">
        <v>6</v>
      </c>
      <c r="D35" s="54">
        <v>297.78719478959044</v>
      </c>
    </row>
    <row r="36" spans="1:4" ht="28.8">
      <c r="A36" s="53" t="s">
        <v>4</v>
      </c>
      <c r="B36" s="53" t="s">
        <v>5</v>
      </c>
      <c r="C36" s="53" t="s">
        <v>7</v>
      </c>
      <c r="D36" s="54">
        <v>1193.8407874018142</v>
      </c>
    </row>
    <row r="37" spans="1:4" ht="28.8">
      <c r="A37" s="53" t="s">
        <v>4</v>
      </c>
      <c r="B37" s="53" t="s">
        <v>5</v>
      </c>
      <c r="C37" s="53" t="s">
        <v>7</v>
      </c>
      <c r="D37" s="54">
        <v>542.0717985347045</v>
      </c>
    </row>
    <row r="38" spans="1:4" ht="28.8">
      <c r="A38" s="53" t="s">
        <v>4</v>
      </c>
      <c r="B38" s="53" t="s">
        <v>5</v>
      </c>
      <c r="C38" s="53" t="s">
        <v>7</v>
      </c>
      <c r="D38" s="54">
        <v>606.23053763162397</v>
      </c>
    </row>
    <row r="39" spans="1:4">
      <c r="A39" s="53" t="s">
        <v>4</v>
      </c>
      <c r="B39" s="53" t="s">
        <v>5</v>
      </c>
      <c r="C39" s="53" t="s">
        <v>8</v>
      </c>
      <c r="D39" s="54">
        <v>2750.5785190587662</v>
      </c>
    </row>
    <row r="40" spans="1:4">
      <c r="A40" s="53" t="s">
        <v>4</v>
      </c>
      <c r="B40" s="53" t="s">
        <v>5</v>
      </c>
      <c r="C40" s="53" t="s">
        <v>8</v>
      </c>
      <c r="D40" s="54">
        <v>165.27656497897934</v>
      </c>
    </row>
    <row r="41" spans="1:4">
      <c r="A41" s="53" t="s">
        <v>4</v>
      </c>
      <c r="B41" s="53" t="s">
        <v>5</v>
      </c>
      <c r="C41" s="53" t="s">
        <v>8</v>
      </c>
      <c r="D41" s="54">
        <v>122.86171380783686</v>
      </c>
    </row>
    <row r="42" spans="1:4">
      <c r="A42" s="53" t="s">
        <v>4</v>
      </c>
      <c r="B42" s="53" t="s">
        <v>5</v>
      </c>
      <c r="C42" s="53" t="s">
        <v>8</v>
      </c>
      <c r="D42" s="54">
        <v>32.055551878289222</v>
      </c>
    </row>
    <row r="43" spans="1:4">
      <c r="A43" s="53" t="s">
        <v>4</v>
      </c>
      <c r="B43" s="53" t="s">
        <v>5</v>
      </c>
      <c r="C43" s="53" t="s">
        <v>9</v>
      </c>
      <c r="D43" s="54">
        <v>2274.093656677192</v>
      </c>
    </row>
    <row r="44" spans="1:4">
      <c r="A44" s="53" t="s">
        <v>4</v>
      </c>
      <c r="B44" s="53" t="s">
        <v>5</v>
      </c>
      <c r="C44" s="53" t="s">
        <v>9</v>
      </c>
      <c r="D44" s="54">
        <v>894.20941783043554</v>
      </c>
    </row>
    <row r="45" spans="1:4">
      <c r="A45" s="53" t="s">
        <v>4</v>
      </c>
      <c r="B45" s="53" t="s">
        <v>5</v>
      </c>
      <c r="C45" s="53" t="s">
        <v>9</v>
      </c>
      <c r="D45" s="54">
        <v>1087.4876488745062</v>
      </c>
    </row>
    <row r="46" spans="1:4" ht="28.8">
      <c r="A46" s="53" t="s">
        <v>4</v>
      </c>
      <c r="B46" s="53" t="s">
        <v>5</v>
      </c>
      <c r="C46" s="53" t="s">
        <v>10</v>
      </c>
      <c r="D46" s="54">
        <v>81064.28395450383</v>
      </c>
    </row>
    <row r="47" spans="1:4" ht="28.8">
      <c r="A47" s="53" t="s">
        <v>4</v>
      </c>
      <c r="B47" s="53" t="s">
        <v>5</v>
      </c>
      <c r="C47" s="53" t="s">
        <v>10</v>
      </c>
      <c r="D47" s="54">
        <v>15257.310297478462</v>
      </c>
    </row>
    <row r="48" spans="1:4" ht="28.8">
      <c r="A48" s="53" t="s">
        <v>4</v>
      </c>
      <c r="B48" s="53" t="s">
        <v>5</v>
      </c>
      <c r="C48" s="53" t="s">
        <v>10</v>
      </c>
      <c r="D48" s="54">
        <v>71317.41062499446</v>
      </c>
    </row>
    <row r="49" spans="1:4">
      <c r="A49" s="53" t="s">
        <v>4</v>
      </c>
      <c r="B49" s="53" t="s">
        <v>11</v>
      </c>
      <c r="C49" s="53" t="s">
        <v>6</v>
      </c>
      <c r="D49" s="54">
        <v>449.31437571371532</v>
      </c>
    </row>
    <row r="50" spans="1:4">
      <c r="A50" s="53" t="s">
        <v>4</v>
      </c>
      <c r="B50" s="53" t="s">
        <v>11</v>
      </c>
      <c r="C50" s="53" t="s">
        <v>6</v>
      </c>
      <c r="D50" s="54">
        <v>520.93719812968914</v>
      </c>
    </row>
    <row r="51" spans="1:4">
      <c r="A51" s="53" t="s">
        <v>4</v>
      </c>
      <c r="B51" s="53" t="s">
        <v>11</v>
      </c>
      <c r="C51" s="53" t="s">
        <v>6</v>
      </c>
      <c r="D51" s="54">
        <v>461.11002826906252</v>
      </c>
    </row>
    <row r="52" spans="1:4" ht="28.8">
      <c r="A52" s="53" t="s">
        <v>4</v>
      </c>
      <c r="B52" s="53" t="s">
        <v>11</v>
      </c>
      <c r="C52" s="53" t="s">
        <v>7</v>
      </c>
      <c r="D52" s="54">
        <v>574.55011946275079</v>
      </c>
    </row>
    <row r="53" spans="1:4" ht="28.8">
      <c r="A53" s="53" t="s">
        <v>4</v>
      </c>
      <c r="B53" s="53" t="s">
        <v>11</v>
      </c>
      <c r="C53" s="53" t="s">
        <v>7</v>
      </c>
      <c r="D53" s="54">
        <v>800.03032554070376</v>
      </c>
    </row>
    <row r="54" spans="1:4" ht="28.8">
      <c r="A54" s="53" t="s">
        <v>4</v>
      </c>
      <c r="B54" s="53" t="s">
        <v>11</v>
      </c>
      <c r="C54" s="53" t="s">
        <v>7</v>
      </c>
      <c r="D54" s="54">
        <v>853.26634104844698</v>
      </c>
    </row>
    <row r="55" spans="1:4">
      <c r="A55" s="53" t="s">
        <v>4</v>
      </c>
      <c r="B55" s="53" t="s">
        <v>11</v>
      </c>
      <c r="C55" s="53" t="s">
        <v>8</v>
      </c>
      <c r="D55" s="54">
        <v>6529.7369435074024</v>
      </c>
    </row>
    <row r="56" spans="1:4">
      <c r="A56" s="53" t="s">
        <v>4</v>
      </c>
      <c r="B56" s="53" t="s">
        <v>11</v>
      </c>
      <c r="C56" s="53" t="s">
        <v>8</v>
      </c>
      <c r="D56" s="54">
        <v>152.85134074990543</v>
      </c>
    </row>
    <row r="57" spans="1:4">
      <c r="A57" s="53" t="s">
        <v>4</v>
      </c>
      <c r="B57" s="53" t="s">
        <v>11</v>
      </c>
      <c r="C57" s="53" t="s">
        <v>8</v>
      </c>
      <c r="D57" s="54">
        <v>287.18341742689785</v>
      </c>
    </row>
    <row r="58" spans="1:4">
      <c r="A58" s="53" t="s">
        <v>4</v>
      </c>
      <c r="B58" s="53" t="s">
        <v>11</v>
      </c>
      <c r="C58" s="53" t="s">
        <v>8</v>
      </c>
      <c r="D58" s="54">
        <v>58.916100022521931</v>
      </c>
    </row>
    <row r="59" spans="1:4">
      <c r="A59" s="53" t="s">
        <v>4</v>
      </c>
      <c r="B59" s="53" t="s">
        <v>11</v>
      </c>
      <c r="C59" s="53" t="s">
        <v>9</v>
      </c>
      <c r="D59" s="54">
        <v>1290.9833705343344</v>
      </c>
    </row>
    <row r="60" spans="1:4">
      <c r="A60" s="53" t="s">
        <v>4</v>
      </c>
      <c r="B60" s="53" t="s">
        <v>11</v>
      </c>
      <c r="C60" s="53" t="s">
        <v>9</v>
      </c>
      <c r="D60" s="54">
        <v>1061.2390794422222</v>
      </c>
    </row>
    <row r="61" spans="1:4">
      <c r="A61" s="53" t="s">
        <v>4</v>
      </c>
      <c r="B61" s="53" t="s">
        <v>11</v>
      </c>
      <c r="C61" s="53" t="s">
        <v>9</v>
      </c>
      <c r="D61" s="54">
        <v>979.99825761424995</v>
      </c>
    </row>
    <row r="62" spans="1:4" ht="28.8">
      <c r="A62" s="53" t="s">
        <v>4</v>
      </c>
      <c r="B62" s="53" t="s">
        <v>11</v>
      </c>
      <c r="C62" s="53" t="s">
        <v>10</v>
      </c>
      <c r="D62" s="54">
        <v>65467.121013828058</v>
      </c>
    </row>
    <row r="63" spans="1:4" ht="28.8">
      <c r="A63" s="53" t="s">
        <v>4</v>
      </c>
      <c r="B63" s="53" t="s">
        <v>11</v>
      </c>
      <c r="C63" s="53" t="s">
        <v>10</v>
      </c>
      <c r="D63" s="54">
        <v>14683.728349656776</v>
      </c>
    </row>
    <row r="64" spans="1:4" ht="28.8">
      <c r="A64" s="53" t="s">
        <v>4</v>
      </c>
      <c r="B64" s="53" t="s">
        <v>11</v>
      </c>
      <c r="C64" s="53" t="s">
        <v>10</v>
      </c>
      <c r="D64" s="54">
        <v>50871.174138154107</v>
      </c>
    </row>
    <row r="65" spans="1:4">
      <c r="A65" s="53" t="s">
        <v>12</v>
      </c>
      <c r="B65" s="53" t="s">
        <v>5</v>
      </c>
      <c r="C65" s="53" t="s">
        <v>6</v>
      </c>
      <c r="D65" s="54">
        <v>1099.24229960354</v>
      </c>
    </row>
    <row r="66" spans="1:4">
      <c r="A66" s="53" t="s">
        <v>12</v>
      </c>
      <c r="B66" s="53" t="s">
        <v>5</v>
      </c>
      <c r="C66" s="53" t="s">
        <v>6</v>
      </c>
      <c r="D66" s="54">
        <v>2333.4728826503774</v>
      </c>
    </row>
    <row r="67" spans="1:4">
      <c r="A67" s="53" t="s">
        <v>12</v>
      </c>
      <c r="B67" s="53" t="s">
        <v>5</v>
      </c>
      <c r="C67" s="53" t="s">
        <v>6</v>
      </c>
      <c r="D67" s="54">
        <v>189.39178854689908</v>
      </c>
    </row>
    <row r="68" spans="1:4" ht="28.8">
      <c r="A68" s="53" t="s">
        <v>12</v>
      </c>
      <c r="B68" s="53" t="s">
        <v>5</v>
      </c>
      <c r="C68" s="53" t="s">
        <v>7</v>
      </c>
      <c r="D68" s="54">
        <v>1229.9051637619852</v>
      </c>
    </row>
    <row r="69" spans="1:4" ht="28.8">
      <c r="A69" s="53" t="s">
        <v>12</v>
      </c>
      <c r="B69" s="53" t="s">
        <v>5</v>
      </c>
      <c r="C69" s="53" t="s">
        <v>7</v>
      </c>
      <c r="D69" s="54">
        <v>1882.5506441888476</v>
      </c>
    </row>
    <row r="70" spans="1:4" ht="28.8">
      <c r="A70" s="53" t="s">
        <v>12</v>
      </c>
      <c r="B70" s="53" t="s">
        <v>5</v>
      </c>
      <c r="C70" s="53" t="s">
        <v>7</v>
      </c>
      <c r="D70" s="54">
        <v>541.92719427355428</v>
      </c>
    </row>
    <row r="71" spans="1:4">
      <c r="A71" s="53" t="s">
        <v>12</v>
      </c>
      <c r="B71" s="53" t="s">
        <v>5</v>
      </c>
      <c r="C71" s="53" t="s">
        <v>8</v>
      </c>
      <c r="D71" s="54">
        <v>3400.3521594944891</v>
      </c>
    </row>
    <row r="72" spans="1:4">
      <c r="A72" s="53" t="s">
        <v>12</v>
      </c>
      <c r="B72" s="53" t="s">
        <v>5</v>
      </c>
      <c r="C72" s="53" t="s">
        <v>8</v>
      </c>
      <c r="D72" s="54">
        <v>422.90889026520108</v>
      </c>
    </row>
    <row r="73" spans="1:4">
      <c r="A73" s="53" t="s">
        <v>12</v>
      </c>
      <c r="B73" s="53" t="s">
        <v>5</v>
      </c>
      <c r="C73" s="53" t="s">
        <v>8</v>
      </c>
      <c r="D73" s="54">
        <v>246.26458006075546</v>
      </c>
    </row>
    <row r="74" spans="1:4">
      <c r="A74" s="53" t="s">
        <v>12</v>
      </c>
      <c r="B74" s="53" t="s">
        <v>5</v>
      </c>
      <c r="C74" s="53" t="s">
        <v>8</v>
      </c>
      <c r="D74" s="54">
        <v>358.53094545457395</v>
      </c>
    </row>
    <row r="75" spans="1:4">
      <c r="A75" s="53" t="s">
        <v>12</v>
      </c>
      <c r="B75" s="53" t="s">
        <v>5</v>
      </c>
      <c r="C75" s="53" t="s">
        <v>9</v>
      </c>
      <c r="D75" s="54">
        <v>1120.4602891041955</v>
      </c>
    </row>
    <row r="76" spans="1:4">
      <c r="A76" s="53" t="s">
        <v>12</v>
      </c>
      <c r="B76" s="53" t="s">
        <v>5</v>
      </c>
      <c r="C76" s="53" t="s">
        <v>9</v>
      </c>
      <c r="D76" s="54">
        <v>698.13161596521218</v>
      </c>
    </row>
    <row r="77" spans="1:4">
      <c r="A77" s="53" t="s">
        <v>12</v>
      </c>
      <c r="B77" s="53" t="s">
        <v>5</v>
      </c>
      <c r="C77" s="53" t="s">
        <v>9</v>
      </c>
      <c r="D77" s="54">
        <v>1634.229861441145</v>
      </c>
    </row>
    <row r="78" spans="1:4" ht="28.8">
      <c r="A78" s="53" t="s">
        <v>12</v>
      </c>
      <c r="B78" s="53" t="s">
        <v>5</v>
      </c>
      <c r="C78" s="53" t="s">
        <v>10</v>
      </c>
      <c r="D78" s="54">
        <v>11134.497048719182</v>
      </c>
    </row>
    <row r="79" spans="1:4" ht="28.8">
      <c r="A79" s="53" t="s">
        <v>12</v>
      </c>
      <c r="B79" s="53" t="s">
        <v>5</v>
      </c>
      <c r="C79" s="53" t="s">
        <v>10</v>
      </c>
      <c r="D79" s="54">
        <v>2912.707744709513</v>
      </c>
    </row>
    <row r="80" spans="1:4" ht="28.8">
      <c r="A80" s="53" t="s">
        <v>12</v>
      </c>
      <c r="B80" s="53" t="s">
        <v>5</v>
      </c>
      <c r="C80" s="53" t="s">
        <v>10</v>
      </c>
      <c r="D80" s="54">
        <v>5620.8870454504122</v>
      </c>
    </row>
    <row r="81" spans="1:4">
      <c r="A81" s="53" t="s">
        <v>12</v>
      </c>
      <c r="B81" s="53" t="s">
        <v>11</v>
      </c>
      <c r="C81" s="53" t="s">
        <v>6</v>
      </c>
      <c r="D81" s="54">
        <v>77.312680233778224</v>
      </c>
    </row>
    <row r="82" spans="1:4">
      <c r="A82" s="53" t="s">
        <v>12</v>
      </c>
      <c r="B82" s="53" t="s">
        <v>11</v>
      </c>
      <c r="C82" s="53" t="s">
        <v>6</v>
      </c>
      <c r="D82" s="54">
        <v>572.06125117094848</v>
      </c>
    </row>
    <row r="83" spans="1:4">
      <c r="A83" s="53" t="s">
        <v>12</v>
      </c>
      <c r="B83" s="53" t="s">
        <v>11</v>
      </c>
      <c r="C83" s="53" t="s">
        <v>6</v>
      </c>
      <c r="D83" s="54">
        <v>134.08618539173298</v>
      </c>
    </row>
    <row r="84" spans="1:4" ht="28.8">
      <c r="A84" s="53" t="s">
        <v>12</v>
      </c>
      <c r="B84" s="53" t="s">
        <v>11</v>
      </c>
      <c r="C84" s="53" t="s">
        <v>7</v>
      </c>
      <c r="D84" s="54">
        <v>512.98741150050159</v>
      </c>
    </row>
    <row r="85" spans="1:4" ht="28.8">
      <c r="A85" s="53" t="s">
        <v>12</v>
      </c>
      <c r="B85" s="53" t="s">
        <v>11</v>
      </c>
      <c r="C85" s="53" t="s">
        <v>7</v>
      </c>
      <c r="D85" s="54">
        <v>1553.6261547426284</v>
      </c>
    </row>
    <row r="86" spans="1:4" ht="28.8">
      <c r="A86" s="53" t="s">
        <v>12</v>
      </c>
      <c r="B86" s="53" t="s">
        <v>11</v>
      </c>
      <c r="C86" s="53" t="s">
        <v>7</v>
      </c>
      <c r="D86" s="54">
        <v>498.16660366410355</v>
      </c>
    </row>
    <row r="87" spans="1:4">
      <c r="A87" s="53" t="s">
        <v>12</v>
      </c>
      <c r="B87" s="53" t="s">
        <v>11</v>
      </c>
      <c r="C87" s="53" t="s">
        <v>8</v>
      </c>
      <c r="D87" s="54">
        <v>1164.5375441191388</v>
      </c>
    </row>
    <row r="88" spans="1:4">
      <c r="A88" s="53" t="s">
        <v>12</v>
      </c>
      <c r="B88" s="53" t="s">
        <v>11</v>
      </c>
      <c r="C88" s="53" t="s">
        <v>8</v>
      </c>
      <c r="D88" s="54">
        <v>75.659661341458872</v>
      </c>
    </row>
    <row r="89" spans="1:4">
      <c r="A89" s="53" t="s">
        <v>12</v>
      </c>
      <c r="B89" s="53" t="s">
        <v>11</v>
      </c>
      <c r="C89" s="53" t="s">
        <v>8</v>
      </c>
      <c r="D89" s="54">
        <v>231.49620869681567</v>
      </c>
    </row>
    <row r="90" spans="1:4">
      <c r="A90" s="53" t="s">
        <v>12</v>
      </c>
      <c r="B90" s="53" t="s">
        <v>11</v>
      </c>
      <c r="C90" s="53" t="s">
        <v>8</v>
      </c>
      <c r="D90" s="54">
        <v>455.02034459848284</v>
      </c>
    </row>
    <row r="91" spans="1:4">
      <c r="A91" s="53" t="s">
        <v>12</v>
      </c>
      <c r="B91" s="53" t="s">
        <v>11</v>
      </c>
      <c r="C91" s="53" t="s">
        <v>9</v>
      </c>
      <c r="D91" s="54">
        <v>223.70591945029827</v>
      </c>
    </row>
    <row r="92" spans="1:4">
      <c r="A92" s="53" t="s">
        <v>12</v>
      </c>
      <c r="B92" s="53" t="s">
        <v>11</v>
      </c>
      <c r="C92" s="53" t="s">
        <v>9</v>
      </c>
      <c r="D92" s="54">
        <v>55.254863838654529</v>
      </c>
    </row>
    <row r="93" spans="1:4">
      <c r="A93" s="53" t="s">
        <v>12</v>
      </c>
      <c r="B93" s="53" t="s">
        <v>11</v>
      </c>
      <c r="C93" s="53" t="s">
        <v>9</v>
      </c>
      <c r="D93" s="54">
        <v>223.29416969377547</v>
      </c>
    </row>
    <row r="94" spans="1:4" ht="28.8">
      <c r="A94" s="53" t="s">
        <v>12</v>
      </c>
      <c r="B94" s="53" t="s">
        <v>11</v>
      </c>
      <c r="C94" s="53" t="s">
        <v>10</v>
      </c>
      <c r="D94" s="54">
        <v>4429.2649662956856</v>
      </c>
    </row>
    <row r="95" spans="1:4" ht="28.8">
      <c r="A95" s="53" t="s">
        <v>12</v>
      </c>
      <c r="B95" s="53" t="s">
        <v>11</v>
      </c>
      <c r="C95" s="53" t="s">
        <v>10</v>
      </c>
      <c r="D95" s="54">
        <v>538.15203927042967</v>
      </c>
    </row>
    <row r="96" spans="1:4" ht="28.8">
      <c r="A96" s="53" t="s">
        <v>12</v>
      </c>
      <c r="B96" s="53" t="s">
        <v>11</v>
      </c>
      <c r="C96" s="53" t="s">
        <v>10</v>
      </c>
      <c r="D96" s="54">
        <v>1796.4863464494292</v>
      </c>
    </row>
    <row r="97" spans="1:4">
      <c r="A97" s="53" t="s">
        <v>13</v>
      </c>
      <c r="B97" s="53" t="s">
        <v>5</v>
      </c>
      <c r="C97" s="53" t="s">
        <v>6</v>
      </c>
      <c r="D97" s="54">
        <v>17.642861500691254</v>
      </c>
    </row>
    <row r="98" spans="1:4">
      <c r="A98" s="53" t="s">
        <v>13</v>
      </c>
      <c r="B98" s="53" t="s">
        <v>5</v>
      </c>
      <c r="C98" s="53" t="s">
        <v>6</v>
      </c>
      <c r="D98" s="54">
        <v>65.146579387070517</v>
      </c>
    </row>
    <row r="99" spans="1:4" ht="28.8">
      <c r="A99" s="53" t="s">
        <v>13</v>
      </c>
      <c r="B99" s="53" t="s">
        <v>5</v>
      </c>
      <c r="C99" s="53" t="s">
        <v>7</v>
      </c>
      <c r="D99" s="54">
        <v>313.86523938463779</v>
      </c>
    </row>
    <row r="100" spans="1:4" ht="28.8">
      <c r="A100" s="53" t="s">
        <v>13</v>
      </c>
      <c r="B100" s="53" t="s">
        <v>5</v>
      </c>
      <c r="C100" s="53" t="s">
        <v>7</v>
      </c>
      <c r="D100" s="54">
        <v>28.291343672437208</v>
      </c>
    </row>
    <row r="101" spans="1:4" ht="28.8">
      <c r="A101" s="53" t="s">
        <v>13</v>
      </c>
      <c r="B101" s="53" t="s">
        <v>5</v>
      </c>
      <c r="C101" s="53" t="s">
        <v>7</v>
      </c>
      <c r="D101" s="54">
        <v>77.095099528548616</v>
      </c>
    </row>
    <row r="102" spans="1:4">
      <c r="A102" s="53" t="s">
        <v>13</v>
      </c>
      <c r="B102" s="53" t="s">
        <v>5</v>
      </c>
      <c r="C102" s="53" t="s">
        <v>8</v>
      </c>
      <c r="D102" s="54">
        <v>460.2237112663355</v>
      </c>
    </row>
    <row r="103" spans="1:4">
      <c r="A103" s="53" t="s">
        <v>13</v>
      </c>
      <c r="B103" s="53" t="s">
        <v>5</v>
      </c>
      <c r="C103" s="53" t="s">
        <v>8</v>
      </c>
      <c r="D103" s="54">
        <v>13.805843122526561</v>
      </c>
    </row>
    <row r="104" spans="1:4">
      <c r="A104" s="53" t="s">
        <v>13</v>
      </c>
      <c r="B104" s="53" t="s">
        <v>5</v>
      </c>
      <c r="C104" s="53" t="s">
        <v>8</v>
      </c>
      <c r="D104" s="54">
        <v>43.873373225060078</v>
      </c>
    </row>
    <row r="105" spans="1:4">
      <c r="A105" s="53" t="s">
        <v>13</v>
      </c>
      <c r="B105" s="53" t="s">
        <v>5</v>
      </c>
      <c r="C105" s="53" t="s">
        <v>9</v>
      </c>
      <c r="D105" s="54">
        <v>203.21631091649664</v>
      </c>
    </row>
    <row r="106" spans="1:4">
      <c r="A106" s="53" t="s">
        <v>13</v>
      </c>
      <c r="B106" s="53" t="s">
        <v>5</v>
      </c>
      <c r="C106" s="53" t="s">
        <v>9</v>
      </c>
      <c r="D106" s="54">
        <v>373.81613324527353</v>
      </c>
    </row>
    <row r="107" spans="1:4" ht="28.8">
      <c r="A107" s="53" t="s">
        <v>13</v>
      </c>
      <c r="B107" s="53" t="s">
        <v>5</v>
      </c>
      <c r="C107" s="53" t="s">
        <v>10</v>
      </c>
      <c r="D107" s="54">
        <v>825.21081707414669</v>
      </c>
    </row>
    <row r="108" spans="1:4" ht="28.8">
      <c r="A108" s="53" t="s">
        <v>13</v>
      </c>
      <c r="B108" s="53" t="s">
        <v>5</v>
      </c>
      <c r="C108" s="53" t="s">
        <v>10</v>
      </c>
      <c r="D108" s="54">
        <v>234.33477861246794</v>
      </c>
    </row>
    <row r="109" spans="1:4" ht="28.8">
      <c r="A109" s="53" t="s">
        <v>13</v>
      </c>
      <c r="B109" s="53" t="s">
        <v>5</v>
      </c>
      <c r="C109" s="53" t="s">
        <v>10</v>
      </c>
      <c r="D109" s="54">
        <v>749.33123858278009</v>
      </c>
    </row>
    <row r="110" spans="1:4" ht="28.8">
      <c r="A110" s="53" t="s">
        <v>13</v>
      </c>
      <c r="B110" s="53" t="s">
        <v>11</v>
      </c>
      <c r="C110" s="53" t="s">
        <v>7</v>
      </c>
      <c r="D110" s="54">
        <v>47.305384996691863</v>
      </c>
    </row>
    <row r="111" spans="1:4" ht="28.8">
      <c r="A111" s="53" t="s">
        <v>13</v>
      </c>
      <c r="B111" s="53" t="s">
        <v>11</v>
      </c>
      <c r="C111" s="53" t="s">
        <v>7</v>
      </c>
      <c r="D111" s="54">
        <v>69.588617420807992</v>
      </c>
    </row>
    <row r="112" spans="1:4" ht="28.8">
      <c r="A112" s="53" t="s">
        <v>13</v>
      </c>
      <c r="B112" s="53" t="s">
        <v>11</v>
      </c>
      <c r="C112" s="53" t="s">
        <v>7</v>
      </c>
      <c r="D112" s="54">
        <v>69.457354611224659</v>
      </c>
    </row>
    <row r="113" spans="1:4">
      <c r="A113" s="53" t="s">
        <v>13</v>
      </c>
      <c r="B113" s="53" t="s">
        <v>11</v>
      </c>
      <c r="C113" s="53" t="s">
        <v>8</v>
      </c>
      <c r="D113" s="54">
        <v>329.15026636182301</v>
      </c>
    </row>
    <row r="114" spans="1:4">
      <c r="A114" s="53" t="s">
        <v>13</v>
      </c>
      <c r="B114" s="53" t="s">
        <v>11</v>
      </c>
      <c r="C114" s="53" t="s">
        <v>8</v>
      </c>
      <c r="D114" s="54">
        <v>3.3173137334416465E-5</v>
      </c>
    </row>
    <row r="115" spans="1:4">
      <c r="A115" s="53" t="s">
        <v>13</v>
      </c>
      <c r="B115" s="53" t="s">
        <v>11</v>
      </c>
      <c r="C115" s="53" t="s">
        <v>9</v>
      </c>
      <c r="D115" s="54">
        <v>19.721302597427872</v>
      </c>
    </row>
    <row r="116" spans="1:4">
      <c r="A116" s="53" t="s">
        <v>13</v>
      </c>
      <c r="B116" s="53" t="s">
        <v>11</v>
      </c>
      <c r="C116" s="53" t="s">
        <v>9</v>
      </c>
      <c r="D116" s="54">
        <v>66.689184491233448</v>
      </c>
    </row>
    <row r="117" spans="1:4">
      <c r="A117" s="53" t="s">
        <v>13</v>
      </c>
      <c r="B117" s="53" t="s">
        <v>11</v>
      </c>
      <c r="C117" s="53" t="s">
        <v>9</v>
      </c>
      <c r="D117" s="54">
        <v>43.33143173365842</v>
      </c>
    </row>
    <row r="118" spans="1:4" ht="28.8">
      <c r="A118" s="53" t="s">
        <v>13</v>
      </c>
      <c r="B118" s="53" t="s">
        <v>11</v>
      </c>
      <c r="C118" s="53" t="s">
        <v>10</v>
      </c>
      <c r="D118" s="54">
        <v>1282.1230368790273</v>
      </c>
    </row>
    <row r="119" spans="1:4" ht="28.8">
      <c r="A119" s="53" t="s">
        <v>13</v>
      </c>
      <c r="B119" s="53" t="s">
        <v>11</v>
      </c>
      <c r="C119" s="53" t="s">
        <v>10</v>
      </c>
      <c r="D119" s="54">
        <v>288.67176621764196</v>
      </c>
    </row>
    <row r="120" spans="1:4" ht="28.8">
      <c r="A120" s="53" t="s">
        <v>13</v>
      </c>
      <c r="B120" s="53" t="s">
        <v>11</v>
      </c>
      <c r="C120" s="53" t="s">
        <v>10</v>
      </c>
      <c r="D120" s="54">
        <v>296.56874343221648</v>
      </c>
    </row>
    <row r="121" spans="1:4">
      <c r="A121" s="34"/>
      <c r="B121" s="34"/>
      <c r="C121" s="34"/>
      <c r="D121" s="35"/>
    </row>
    <row r="122" spans="1:4">
      <c r="A122" s="34"/>
      <c r="B122" s="34"/>
      <c r="C122" s="34"/>
      <c r="D122" s="35"/>
    </row>
    <row r="123" spans="1:4">
      <c r="A123" s="34"/>
      <c r="B123" s="34"/>
      <c r="C123" s="34"/>
      <c r="D123" s="35"/>
    </row>
    <row r="124" spans="1:4">
      <c r="A124" s="34"/>
      <c r="B124" s="34"/>
      <c r="C124" s="34"/>
      <c r="D124" s="35"/>
    </row>
    <row r="125" spans="1:4">
      <c r="A125" s="34"/>
      <c r="B125" s="34"/>
      <c r="C125" s="34"/>
      <c r="D125" s="35"/>
    </row>
    <row r="126" spans="1:4">
      <c r="A126" s="34"/>
      <c r="B126" s="34"/>
      <c r="C126" s="34"/>
      <c r="D126" s="35"/>
    </row>
    <row r="127" spans="1:4">
      <c r="A127" s="34"/>
      <c r="B127" s="34"/>
      <c r="C127" s="34"/>
      <c r="D127" s="35"/>
    </row>
  </sheetData>
  <sortState ref="A2:D96">
    <sortCondition ref="A2:A96"/>
    <sortCondition ref="B2:B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TMO</vt:lpstr>
      <vt:lpstr>data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TouchPad</dc:creator>
  <cp:lastModifiedBy>TouchPad</cp:lastModifiedBy>
  <dcterms:created xsi:type="dcterms:W3CDTF">2012-07-24T18:37:49Z</dcterms:created>
  <dcterms:modified xsi:type="dcterms:W3CDTF">2012-08-15T17:48:39Z</dcterms:modified>
</cp:coreProperties>
</file>